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45E8E7C-2B53-41F1-8124-3CA927F965F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fer">Sheet1!$A:$A</definedName>
  </definedNames>
  <calcPr calcId="181029"/>
</workbook>
</file>

<file path=xl/calcChain.xml><?xml version="1.0" encoding="utf-8"?>
<calcChain xmlns="http://schemas.openxmlformats.org/spreadsheetml/2006/main">
  <c r="F3" i="1" l="1"/>
  <c r="F2" i="1"/>
  <c r="D3" i="1"/>
  <c r="D4" i="1"/>
  <c r="D5" i="1"/>
  <c r="D6" i="1"/>
  <c r="D2" i="1"/>
  <c r="L3" i="1"/>
  <c r="L4" i="1"/>
  <c r="L5" i="1"/>
  <c r="L6" i="1"/>
  <c r="L2" i="1"/>
  <c r="I3" i="1"/>
  <c r="I4" i="1"/>
  <c r="I5" i="1"/>
  <c r="I6" i="1"/>
  <c r="I2" i="1"/>
  <c r="M6" i="1"/>
  <c r="M5" i="1"/>
  <c r="M4" i="1"/>
  <c r="M3" i="1"/>
  <c r="M2" i="1"/>
  <c r="J2" i="1" l="1"/>
  <c r="J6" i="1"/>
  <c r="J5" i="1"/>
  <c r="J4" i="1"/>
  <c r="J3" i="1"/>
  <c r="H6" i="1"/>
  <c r="H5" i="1"/>
  <c r="H4" i="1"/>
  <c r="H3" i="1"/>
  <c r="Q3" i="1" l="1"/>
  <c r="S3" i="1" s="1"/>
  <c r="R3" i="1"/>
  <c r="Q4" i="1"/>
  <c r="S4" i="1" s="1"/>
  <c r="R4" i="1"/>
  <c r="R5" i="1"/>
  <c r="T5" i="1" s="1"/>
  <c r="Q5" i="1"/>
  <c r="S5" i="1" s="1"/>
  <c r="R6" i="1"/>
  <c r="Q6" i="1"/>
  <c r="S6" i="1" s="1"/>
  <c r="T6" i="1" l="1"/>
  <c r="T4" i="1"/>
  <c r="T3" i="1"/>
  <c r="X4" i="1"/>
  <c r="V4" i="1"/>
  <c r="V6" i="1"/>
  <c r="Y6" i="1"/>
  <c r="X6" i="1"/>
  <c r="Y4" i="1"/>
  <c r="Y3" i="1"/>
  <c r="V3" i="1"/>
  <c r="X3" i="1"/>
  <c r="X5" i="1"/>
  <c r="V5" i="1"/>
  <c r="W5" i="1" s="1"/>
  <c r="Y5" i="1"/>
  <c r="W3" i="1" l="1"/>
  <c r="W6" i="1"/>
  <c r="W4" i="1"/>
  <c r="H2" i="1"/>
  <c r="R2" i="1" l="1"/>
  <c r="Q2" i="1"/>
  <c r="S2" i="1" s="1"/>
  <c r="T2" i="1" l="1"/>
  <c r="X2" i="1"/>
  <c r="Y2" i="1"/>
  <c r="V2" i="1"/>
  <c r="W2" i="1" l="1"/>
</calcChain>
</file>

<file path=xl/sharedStrings.xml><?xml version="1.0" encoding="utf-8"?>
<sst xmlns="http://schemas.openxmlformats.org/spreadsheetml/2006/main" count="37" uniqueCount="36">
  <si>
    <t>نام پرسنل</t>
  </si>
  <si>
    <t>دستمزد روزانه</t>
  </si>
  <si>
    <t>روزهای کارکرد</t>
  </si>
  <si>
    <t>جمع حقوق و مزایا</t>
  </si>
  <si>
    <t>مالیات</t>
  </si>
  <si>
    <t>بیمه 7% سهم کارگر</t>
  </si>
  <si>
    <t>بیمه 3% بیکاری</t>
  </si>
  <si>
    <t>بیمه 20% سهم کارفرما</t>
  </si>
  <si>
    <t>حقوق پرداختی</t>
  </si>
  <si>
    <t>ساعت کسر کار</t>
  </si>
  <si>
    <t>جمع کل مزایای مشمول</t>
  </si>
  <si>
    <t>مشمول</t>
  </si>
  <si>
    <t>مشمول و غیرمشمول</t>
  </si>
  <si>
    <t>پرسنل 1</t>
  </si>
  <si>
    <t>پرسنل 2</t>
  </si>
  <si>
    <t>پرسنل 3</t>
  </si>
  <si>
    <t>پرسنل 4</t>
  </si>
  <si>
    <t>پرسنل 5</t>
  </si>
  <si>
    <t>تعداد اولاد مشمول</t>
  </si>
  <si>
    <t>ساعت اضافه کار</t>
  </si>
  <si>
    <t>مبلغ اضافه کاری</t>
  </si>
  <si>
    <t>حق اولاد (غیر مشمول)</t>
  </si>
  <si>
    <t>کسر کار</t>
  </si>
  <si>
    <t>نوع قرارداد</t>
  </si>
  <si>
    <t>مزد مبنای ماهیانه</t>
  </si>
  <si>
    <t>مسکن</t>
  </si>
  <si>
    <t>حق تاهل</t>
  </si>
  <si>
    <t>خواربار (مزایای مشمول)</t>
  </si>
  <si>
    <t>دستمزد روزانه سال قبل</t>
  </si>
  <si>
    <t>مزد پایه سنوات سال قبل</t>
  </si>
  <si>
    <t>مزد پایه سنو.ات روزانه</t>
  </si>
  <si>
    <t>تمام وقت - بدون سابقه</t>
  </si>
  <si>
    <t>تمام وقت - با چند سال سابقه</t>
  </si>
  <si>
    <t>پاره وقت - بدون سابقه</t>
  </si>
  <si>
    <t>سایر مسئولیت ها (مشمول)</t>
  </si>
  <si>
    <t>تمام وقت - با 1 سال سابقه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</si>
</sst>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  <xf numFmtId="0" fontId="5" fillId="6" borderId="1" applyNumberFormat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right" readingOrder="2"/>
    </xf>
    <xf numFmtId="164" fontId="6" fillId="0" borderId="0" xfId="0" applyNumberFormat="1" applyFont="1" applyAlignment="1">
      <alignment horizontal="right" readingOrder="2"/>
    </xf>
    <xf numFmtId="0" fontId="6" fillId="5" borderId="2" xfId="4" applyFont="1" applyAlignment="1">
      <alignment horizontal="right" readingOrder="2"/>
    </xf>
    <xf numFmtId="164" fontId="6" fillId="2" borderId="2" xfId="1" applyNumberFormat="1" applyFont="1" applyBorder="1" applyAlignment="1">
      <alignment horizontal="right" readingOrder="2"/>
    </xf>
    <xf numFmtId="164" fontId="7" fillId="3" borderId="2" xfId="2" applyNumberFormat="1" applyFont="1" applyBorder="1" applyAlignment="1">
      <alignment horizontal="right" readingOrder="2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 readingOrder="2"/>
    </xf>
    <xf numFmtId="164" fontId="8" fillId="0" borderId="0" xfId="0" applyNumberFormat="1" applyFont="1" applyAlignment="1">
      <alignment horizontal="right" readingOrder="2"/>
    </xf>
    <xf numFmtId="0" fontId="8" fillId="5" borderId="2" xfId="4" applyFont="1" applyAlignment="1">
      <alignment horizontal="right" readingOrder="2"/>
    </xf>
    <xf numFmtId="164" fontId="8" fillId="2" borderId="2" xfId="1" applyNumberFormat="1" applyFont="1" applyBorder="1" applyAlignment="1">
      <alignment horizontal="right" readingOrder="2"/>
    </xf>
    <xf numFmtId="3" fontId="8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center" readingOrder="2"/>
    </xf>
    <xf numFmtId="164" fontId="9" fillId="6" borderId="1" xfId="5" applyNumberFormat="1" applyFont="1" applyAlignment="1">
      <alignment horizontal="right" readingOrder="2"/>
    </xf>
    <xf numFmtId="3" fontId="8" fillId="0" borderId="0" xfId="0" applyNumberFormat="1" applyFont="1" applyAlignment="1">
      <alignment horizontal="right" readingOrder="2"/>
    </xf>
    <xf numFmtId="3" fontId="6" fillId="0" borderId="0" xfId="0" applyNumberFormat="1" applyFont="1" applyAlignment="1">
      <alignment horizontal="right" readingOrder="2"/>
    </xf>
    <xf numFmtId="164" fontId="9" fillId="0" borderId="1" xfId="3" applyNumberFormat="1" applyFont="1" applyFill="1" applyAlignment="1">
      <alignment horizontal="right" readingOrder="2"/>
    </xf>
    <xf numFmtId="164" fontId="9" fillId="8" borderId="1" xfId="3" applyNumberFormat="1" applyFont="1" applyFill="1" applyAlignment="1">
      <alignment horizontal="right" readingOrder="2"/>
    </xf>
    <xf numFmtId="0" fontId="6" fillId="9" borderId="0" xfId="0" applyFont="1" applyFill="1" applyAlignment="1">
      <alignment horizontal="left" readingOrder="1"/>
    </xf>
    <xf numFmtId="0" fontId="8" fillId="9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8" fillId="5" borderId="4" xfId="4" applyFont="1" applyBorder="1" applyAlignment="1">
      <alignment horizontal="right" readingOrder="2"/>
    </xf>
    <xf numFmtId="164" fontId="8" fillId="2" borderId="4" xfId="1" applyNumberFormat="1" applyFont="1" applyBorder="1" applyAlignment="1">
      <alignment horizontal="right" readingOrder="2"/>
    </xf>
    <xf numFmtId="164" fontId="9" fillId="6" borderId="5" xfId="5" applyNumberFormat="1" applyFont="1" applyBorder="1" applyAlignment="1">
      <alignment horizontal="right" readingOrder="2"/>
    </xf>
    <xf numFmtId="164" fontId="7" fillId="3" borderId="4" xfId="2" applyNumberFormat="1" applyFont="1" applyBorder="1" applyAlignment="1">
      <alignment horizontal="right" readingOrder="2"/>
    </xf>
    <xf numFmtId="0" fontId="6" fillId="0" borderId="3" xfId="0" applyFont="1" applyBorder="1" applyAlignment="1">
      <alignment horizontal="right" readingOrder="2"/>
    </xf>
    <xf numFmtId="164" fontId="6" fillId="0" borderId="3" xfId="0" applyNumberFormat="1" applyFont="1" applyBorder="1" applyAlignment="1">
      <alignment horizontal="right" readingOrder="2"/>
    </xf>
    <xf numFmtId="164" fontId="8" fillId="0" borderId="3" xfId="0" applyNumberFormat="1" applyFont="1" applyBorder="1" applyAlignment="1">
      <alignment horizontal="right" readingOrder="2"/>
    </xf>
    <xf numFmtId="3" fontId="6" fillId="0" borderId="3" xfId="0" applyNumberFormat="1" applyFont="1" applyBorder="1" applyAlignment="1">
      <alignment horizontal="right" readingOrder="2"/>
    </xf>
    <xf numFmtId="164" fontId="6" fillId="2" borderId="3" xfId="1" applyNumberFormat="1" applyFont="1" applyBorder="1" applyAlignment="1">
      <alignment horizontal="right" readingOrder="2"/>
    </xf>
    <xf numFmtId="164" fontId="7" fillId="6" borderId="3" xfId="5" applyNumberFormat="1" applyFont="1" applyBorder="1" applyAlignment="1">
      <alignment horizontal="right" readingOrder="2"/>
    </xf>
    <xf numFmtId="0" fontId="6" fillId="9" borderId="3" xfId="0" applyFont="1" applyFill="1" applyBorder="1" applyAlignment="1">
      <alignment horizontal="right" readingOrder="2"/>
    </xf>
    <xf numFmtId="164" fontId="8" fillId="9" borderId="3" xfId="0" applyNumberFormat="1" applyFont="1" applyFill="1" applyBorder="1" applyAlignment="1">
      <alignment horizontal="right" readingOrder="2"/>
    </xf>
    <xf numFmtId="164" fontId="6" fillId="9" borderId="3" xfId="0" applyNumberFormat="1" applyFont="1" applyFill="1" applyBorder="1" applyAlignment="1">
      <alignment horizontal="right" readingOrder="2"/>
    </xf>
    <xf numFmtId="0" fontId="8" fillId="9" borderId="3" xfId="0" applyFont="1" applyFill="1" applyBorder="1" applyAlignment="1">
      <alignment horizontal="right" readingOrder="2"/>
    </xf>
    <xf numFmtId="3" fontId="6" fillId="9" borderId="3" xfId="0" applyNumberFormat="1" applyFont="1" applyFill="1" applyBorder="1" applyAlignment="1">
      <alignment horizontal="right" readingOrder="2"/>
    </xf>
    <xf numFmtId="164" fontId="6" fillId="9" borderId="3" xfId="4" applyNumberFormat="1" applyFont="1" applyFill="1" applyBorder="1" applyAlignment="1">
      <alignment horizontal="right" readingOrder="2"/>
    </xf>
    <xf numFmtId="164" fontId="6" fillId="9" borderId="3" xfId="1" applyNumberFormat="1" applyFont="1" applyFill="1" applyBorder="1" applyAlignment="1">
      <alignment horizontal="right" readingOrder="2"/>
    </xf>
    <xf numFmtId="164" fontId="7" fillId="9" borderId="3" xfId="5" applyNumberFormat="1" applyFont="1" applyFill="1" applyBorder="1" applyAlignment="1">
      <alignment horizontal="right" readingOrder="2"/>
    </xf>
    <xf numFmtId="164" fontId="9" fillId="9" borderId="3" xfId="2" applyNumberFormat="1" applyFont="1" applyFill="1" applyBorder="1" applyAlignment="1">
      <alignment horizontal="right" readingOrder="2"/>
    </xf>
    <xf numFmtId="0" fontId="8" fillId="0" borderId="3" xfId="0" applyFont="1" applyBorder="1" applyAlignment="1">
      <alignment horizontal="right" readingOrder="2"/>
    </xf>
    <xf numFmtId="164" fontId="6" fillId="5" borderId="3" xfId="4" applyNumberFormat="1" applyFont="1" applyBorder="1" applyAlignment="1">
      <alignment horizontal="right" readingOrder="2"/>
    </xf>
    <xf numFmtId="164" fontId="9" fillId="3" borderId="3" xfId="2" applyNumberFormat="1" applyFont="1" applyBorder="1" applyAlignment="1">
      <alignment horizontal="right" readingOrder="2"/>
    </xf>
    <xf numFmtId="164" fontId="9" fillId="9" borderId="3" xfId="5" applyNumberFormat="1" applyFont="1" applyFill="1" applyBorder="1" applyAlignment="1">
      <alignment horizontal="right" readingOrder="2"/>
    </xf>
    <xf numFmtId="0" fontId="6" fillId="7" borderId="3" xfId="0" applyFont="1" applyFill="1" applyBorder="1" applyAlignment="1">
      <alignment horizontal="right" readingOrder="2"/>
    </xf>
    <xf numFmtId="164" fontId="6" fillId="7" borderId="3" xfId="0" applyNumberFormat="1" applyFont="1" applyFill="1" applyBorder="1" applyAlignment="1">
      <alignment horizontal="right" readingOrder="2"/>
    </xf>
    <xf numFmtId="164" fontId="8" fillId="7" borderId="3" xfId="0" applyNumberFormat="1" applyFont="1" applyFill="1" applyBorder="1" applyAlignment="1">
      <alignment horizontal="right" readingOrder="2"/>
    </xf>
    <xf numFmtId="3" fontId="6" fillId="7" borderId="3" xfId="0" applyNumberFormat="1" applyFont="1" applyFill="1" applyBorder="1" applyAlignment="1">
      <alignment horizontal="right" readingOrder="2"/>
    </xf>
    <xf numFmtId="0" fontId="6" fillId="7" borderId="3" xfId="4" applyFont="1" applyFill="1" applyBorder="1" applyAlignment="1">
      <alignment horizontal="right" readingOrder="2"/>
    </xf>
    <xf numFmtId="164" fontId="6" fillId="7" borderId="3" xfId="1" applyNumberFormat="1" applyFont="1" applyFill="1" applyBorder="1" applyAlignment="1">
      <alignment horizontal="right" readingOrder="2"/>
    </xf>
    <xf numFmtId="164" fontId="7" fillId="7" borderId="3" xfId="5" applyNumberFormat="1" applyFont="1" applyFill="1" applyBorder="1" applyAlignment="1">
      <alignment horizontal="right" readingOrder="2"/>
    </xf>
    <xf numFmtId="164" fontId="7" fillId="7" borderId="3" xfId="2" applyNumberFormat="1" applyFont="1" applyFill="1" applyBorder="1" applyAlignment="1">
      <alignment horizontal="right" readingOrder="2"/>
    </xf>
    <xf numFmtId="0" fontId="6" fillId="7" borderId="0" xfId="0" applyFont="1" applyFill="1" applyAlignment="1">
      <alignment horizontal="left"/>
    </xf>
  </cellXfs>
  <cellStyles count="6">
    <cellStyle name="20% - Accent5" xfId="1" builtinId="46"/>
    <cellStyle name="Calculation" xfId="5" builtinId="22"/>
    <cellStyle name="Good" xfId="2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FFFF99"/>
      <color rgb="FFE3F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rightToLeft="1" tabSelected="1" workbookViewId="0">
      <selection activeCell="B4" sqref="B4"/>
    </sheetView>
  </sheetViews>
  <sheetFormatPr defaultColWidth="9" defaultRowHeight="19.5" x14ac:dyDescent="0.5"/>
  <cols>
    <col min="1" max="1" width="12.125" style="1" customWidth="1"/>
    <col min="2" max="2" width="20.125" style="2" customWidth="1"/>
    <col min="3" max="3" width="14.625" style="2" customWidth="1"/>
    <col min="4" max="4" width="13.25" style="2" customWidth="1"/>
    <col min="5" max="5" width="13.75" style="2" customWidth="1"/>
    <col min="6" max="6" width="15" style="2" customWidth="1"/>
    <col min="7" max="7" width="10.625" style="1" customWidth="1"/>
    <col min="8" max="8" width="13.625" style="8" customWidth="1"/>
    <col min="9" max="9" width="10.375" style="15" customWidth="1"/>
    <col min="10" max="10" width="9.75" style="2" customWidth="1"/>
    <col min="11" max="11" width="11.75" style="2" customWidth="1"/>
    <col min="12" max="12" width="14.125" style="2" customWidth="1"/>
    <col min="13" max="14" width="15.375" style="2" customWidth="1"/>
    <col min="15" max="15" width="10.375" style="2" customWidth="1"/>
    <col min="16" max="16" width="10.25" style="1" customWidth="1"/>
    <col min="17" max="17" width="16.375" style="3" customWidth="1"/>
    <col min="18" max="18" width="14" style="4" customWidth="1"/>
    <col min="19" max="19" width="11.75" style="13" customWidth="1"/>
    <col min="20" max="20" width="9" style="13" customWidth="1"/>
    <col min="21" max="21" width="12.5" style="2" customWidth="1"/>
    <col min="22" max="22" width="13.375" style="2" customWidth="1"/>
    <col min="23" max="23" width="13.75" style="5" customWidth="1"/>
    <col min="24" max="24" width="10" style="2" customWidth="1"/>
    <col min="25" max="25" width="16.875" style="2" customWidth="1"/>
    <col min="26" max="16384" width="9" style="6"/>
  </cols>
  <sheetData>
    <row r="1" spans="1:25" s="52" customFormat="1" x14ac:dyDescent="0.5">
      <c r="A1" s="44" t="s">
        <v>0</v>
      </c>
      <c r="B1" s="45" t="s">
        <v>23</v>
      </c>
      <c r="C1" s="45" t="s">
        <v>28</v>
      </c>
      <c r="D1" s="45" t="s">
        <v>1</v>
      </c>
      <c r="E1" s="45" t="s">
        <v>29</v>
      </c>
      <c r="F1" s="45" t="s">
        <v>30</v>
      </c>
      <c r="G1" s="44" t="s">
        <v>2</v>
      </c>
      <c r="H1" s="46" t="s">
        <v>24</v>
      </c>
      <c r="I1" s="47" t="s">
        <v>25</v>
      </c>
      <c r="J1" s="45" t="s">
        <v>26</v>
      </c>
      <c r="K1" s="45" t="s">
        <v>18</v>
      </c>
      <c r="L1" s="45" t="s">
        <v>21</v>
      </c>
      <c r="M1" s="45" t="s">
        <v>27</v>
      </c>
      <c r="N1" s="45" t="s">
        <v>34</v>
      </c>
      <c r="O1" s="45" t="s">
        <v>19</v>
      </c>
      <c r="P1" s="44" t="s">
        <v>9</v>
      </c>
      <c r="Q1" s="48" t="s">
        <v>10</v>
      </c>
      <c r="R1" s="49" t="s">
        <v>3</v>
      </c>
      <c r="S1" s="50" t="s">
        <v>20</v>
      </c>
      <c r="T1" s="50" t="s">
        <v>22</v>
      </c>
      <c r="U1" s="45" t="s">
        <v>4</v>
      </c>
      <c r="V1" s="45" t="s">
        <v>5</v>
      </c>
      <c r="W1" s="51" t="s">
        <v>8</v>
      </c>
      <c r="X1" s="45" t="s">
        <v>6</v>
      </c>
      <c r="Y1" s="45" t="s">
        <v>7</v>
      </c>
    </row>
    <row r="2" spans="1:25" s="18" customFormat="1" x14ac:dyDescent="0.5">
      <c r="A2" s="31" t="s">
        <v>13</v>
      </c>
      <c r="B2" s="32" t="s">
        <v>32</v>
      </c>
      <c r="C2" s="33">
        <v>3798272</v>
      </c>
      <c r="D2" s="32">
        <f>IF( (C2&lt;&gt;0), (C2+((C2*45)/100)+519549), (5541850) )</f>
        <v>6027043.4000000004</v>
      </c>
      <c r="E2" s="33">
        <v>433471</v>
      </c>
      <c r="F2" s="33">
        <f>IF( (E2&lt;&gt;0), ((E2*1.45)+166667), (166667) )</f>
        <v>795199.95</v>
      </c>
      <c r="G2" s="34">
        <v>31</v>
      </c>
      <c r="H2" s="32">
        <f>(D2+F2)*G2</f>
        <v>211489543.85000002</v>
      </c>
      <c r="I2" s="35">
        <f>(30000000 / 31)*G2</f>
        <v>30000000</v>
      </c>
      <c r="J2" s="33">
        <f xml:space="preserve"> (5000000 / 31 )*G2</f>
        <v>5000000</v>
      </c>
      <c r="K2" s="33">
        <v>2</v>
      </c>
      <c r="L2" s="33">
        <f xml:space="preserve"> ((K2*16625550) / 31 )*G2</f>
        <v>33251100.000000004</v>
      </c>
      <c r="M2" s="33">
        <f xml:space="preserve"> (22000000 / 31 )*G2</f>
        <v>22000000</v>
      </c>
      <c r="N2" s="33">
        <v>9000000</v>
      </c>
      <c r="O2" s="33">
        <v>20</v>
      </c>
      <c r="P2" s="31">
        <v>2</v>
      </c>
      <c r="Q2" s="36">
        <f>H2+I2+J2+M2+N2</f>
        <v>277489543.85000002</v>
      </c>
      <c r="R2" s="37">
        <f>H2+I2+J2+M2+L2+N2</f>
        <v>310740643.85000002</v>
      </c>
      <c r="S2" s="38">
        <f>((Q2/220)*1.4)*O2</f>
        <v>35316851.035454549</v>
      </c>
      <c r="T2" s="38">
        <f>(P2 / 7.33)*(R2/G2)</f>
        <v>2735031.8518681517</v>
      </c>
      <c r="U2" s="33">
        <v>0</v>
      </c>
      <c r="V2" s="33">
        <f>PRODUCT(((Q2+S2)*7)/100)</f>
        <v>21896447.641981822</v>
      </c>
      <c r="W2" s="39">
        <f>(R2+S2-T2)-(U2+V2)</f>
        <v>321426015.3916046</v>
      </c>
      <c r="X2" s="33">
        <f>PRODUCT(((Q2+S2)*3)/100)</f>
        <v>9384191.8465636373</v>
      </c>
      <c r="Y2" s="33">
        <f>PRODUCT(((Q2+S2)*20)/100)</f>
        <v>62561278.977090925</v>
      </c>
    </row>
    <row r="3" spans="1:25" x14ac:dyDescent="0.5">
      <c r="A3" s="25" t="s">
        <v>14</v>
      </c>
      <c r="B3" s="27" t="s">
        <v>35</v>
      </c>
      <c r="C3" s="26">
        <v>3463655</v>
      </c>
      <c r="D3" s="27">
        <f t="shared" ref="D3:D6" si="0">IF( (C3&lt;&gt;0), (C3+((C3*45)/100)+519549), (5541850) )</f>
        <v>5541848.75</v>
      </c>
      <c r="E3" s="26"/>
      <c r="F3" s="26">
        <f t="shared" ref="F3:F6" si="1">IF( (E3&lt;&gt;0), ((E3*1.45)+166667), (166667) )</f>
        <v>166667</v>
      </c>
      <c r="G3" s="40">
        <v>31</v>
      </c>
      <c r="H3" s="27">
        <f>(D3+F3)*G3</f>
        <v>176963988.25</v>
      </c>
      <c r="I3" s="28">
        <f t="shared" ref="I3:I6" si="2">(30000000 / 31)*G3</f>
        <v>30000000</v>
      </c>
      <c r="J3" s="26">
        <f t="shared" ref="J3:J6" si="3" xml:space="preserve"> (5000000 / 31 )*G3</f>
        <v>5000000</v>
      </c>
      <c r="K3" s="26">
        <v>1</v>
      </c>
      <c r="L3" s="26">
        <f t="shared" ref="L3:L6" si="4" xml:space="preserve"> ((K3*16625550) / 31 )*G3</f>
        <v>16625550.000000002</v>
      </c>
      <c r="M3" s="26">
        <f t="shared" ref="M3:M6" si="5" xml:space="preserve"> (22000000 / 31 )*G3</f>
        <v>22000000</v>
      </c>
      <c r="N3" s="26"/>
      <c r="O3" s="26"/>
      <c r="P3" s="25"/>
      <c r="Q3" s="41">
        <f t="shared" ref="Q3:Q6" si="6">H3+I3+J3+M3+N3</f>
        <v>233963988.25</v>
      </c>
      <c r="R3" s="29">
        <f t="shared" ref="R3:R6" si="7">H3+I3+J3+M3+L3+N3</f>
        <v>250589538.25</v>
      </c>
      <c r="S3" s="30">
        <f t="shared" ref="S3:S6" si="8">((Q3/220)*1.4)*O3</f>
        <v>0</v>
      </c>
      <c r="T3" s="30">
        <f t="shared" ref="T3:T6" si="9">(P3 / 7.33)*(R3/G3)</f>
        <v>0</v>
      </c>
      <c r="U3" s="26"/>
      <c r="V3" s="26">
        <f>PRODUCT(((Q3+S3)*7)/100)</f>
        <v>16377479.1775</v>
      </c>
      <c r="W3" s="42">
        <f>(R3+S3-T3)-(U3+V3)</f>
        <v>234212059.07249999</v>
      </c>
      <c r="X3" s="26">
        <f>PRODUCT(((Q3+S3)*3)/100)</f>
        <v>7018919.6475</v>
      </c>
      <c r="Y3" s="26">
        <f>PRODUCT(((Q3+S3)*20)/100)</f>
        <v>46792797.649999999</v>
      </c>
    </row>
    <row r="4" spans="1:25" s="19" customFormat="1" x14ac:dyDescent="0.5">
      <c r="A4" s="34" t="s">
        <v>15</v>
      </c>
      <c r="B4" s="32" t="s">
        <v>31</v>
      </c>
      <c r="C4" s="32">
        <v>0</v>
      </c>
      <c r="D4" s="32">
        <f t="shared" si="0"/>
        <v>5541850</v>
      </c>
      <c r="E4" s="32">
        <v>0</v>
      </c>
      <c r="F4" s="33"/>
      <c r="G4" s="34">
        <v>31</v>
      </c>
      <c r="H4" s="32">
        <f>(D4+F4)*G4</f>
        <v>171797350</v>
      </c>
      <c r="I4" s="35">
        <f t="shared" si="2"/>
        <v>30000000</v>
      </c>
      <c r="J4" s="33">
        <f t="shared" si="3"/>
        <v>5000000</v>
      </c>
      <c r="K4" s="32">
        <v>0</v>
      </c>
      <c r="L4" s="33">
        <f t="shared" si="4"/>
        <v>0</v>
      </c>
      <c r="M4" s="33">
        <f t="shared" si="5"/>
        <v>22000000</v>
      </c>
      <c r="N4" s="32"/>
      <c r="O4" s="32"/>
      <c r="P4" s="34">
        <v>0</v>
      </c>
      <c r="Q4" s="36">
        <f t="shared" si="6"/>
        <v>228797350</v>
      </c>
      <c r="R4" s="37">
        <f t="shared" si="7"/>
        <v>228797350</v>
      </c>
      <c r="S4" s="43">
        <f t="shared" si="8"/>
        <v>0</v>
      </c>
      <c r="T4" s="43">
        <f t="shared" si="9"/>
        <v>0</v>
      </c>
      <c r="U4" s="33"/>
      <c r="V4" s="33">
        <f>PRODUCT(((Q4+S4)*7)/100)</f>
        <v>16015814.5</v>
      </c>
      <c r="W4" s="39">
        <f>(R4+S4-T4)-(U4+V4)</f>
        <v>212781535.5</v>
      </c>
      <c r="X4" s="33">
        <f>PRODUCT(((Q4+S4)*3)/100)</f>
        <v>6863920.5</v>
      </c>
      <c r="Y4" s="33">
        <f>PRODUCT(((Q4+S4)*20)/100)</f>
        <v>45759470</v>
      </c>
    </row>
    <row r="5" spans="1:25" x14ac:dyDescent="0.5">
      <c r="A5" s="25" t="s">
        <v>16</v>
      </c>
      <c r="B5" s="26" t="s">
        <v>33</v>
      </c>
      <c r="C5" s="26">
        <v>0</v>
      </c>
      <c r="D5" s="27">
        <f t="shared" si="0"/>
        <v>5541850</v>
      </c>
      <c r="E5" s="26"/>
      <c r="F5" s="26"/>
      <c r="G5" s="40">
        <v>20</v>
      </c>
      <c r="H5" s="27">
        <f>(D5+F5)*G5</f>
        <v>110837000</v>
      </c>
      <c r="I5" s="28">
        <f t="shared" si="2"/>
        <v>19354838.709677417</v>
      </c>
      <c r="J5" s="26">
        <f t="shared" si="3"/>
        <v>3225806.4516129028</v>
      </c>
      <c r="K5" s="26"/>
      <c r="L5" s="26">
        <f t="shared" si="4"/>
        <v>0</v>
      </c>
      <c r="M5" s="26">
        <f t="shared" si="5"/>
        <v>14193548.387096774</v>
      </c>
      <c r="N5" s="26"/>
      <c r="O5" s="26"/>
      <c r="P5" s="25"/>
      <c r="Q5" s="41">
        <f t="shared" si="6"/>
        <v>147611193.54838708</v>
      </c>
      <c r="R5" s="29">
        <f t="shared" si="7"/>
        <v>147611193.54838708</v>
      </c>
      <c r="S5" s="30">
        <f t="shared" si="8"/>
        <v>0</v>
      </c>
      <c r="T5" s="30">
        <f t="shared" si="9"/>
        <v>0</v>
      </c>
      <c r="U5" s="26"/>
      <c r="V5" s="26">
        <f>PRODUCT(((Q5+S5)*7)/100)</f>
        <v>10332783.548387095</v>
      </c>
      <c r="W5" s="42">
        <f>(R5+S5-T5)-(U5+V5)</f>
        <v>137278410</v>
      </c>
      <c r="X5" s="26">
        <f>PRODUCT(((Q5+S5)*3)/100)</f>
        <v>4428335.8064516131</v>
      </c>
      <c r="Y5" s="26">
        <f>PRODUCT(((Q5+S5)*20)/100)</f>
        <v>29522238.709677413</v>
      </c>
    </row>
    <row r="6" spans="1:25" s="20" customFormat="1" x14ac:dyDescent="0.5">
      <c r="A6" s="31" t="s">
        <v>17</v>
      </c>
      <c r="B6" s="33" t="s">
        <v>33</v>
      </c>
      <c r="C6" s="33">
        <v>0</v>
      </c>
      <c r="D6" s="32">
        <f t="shared" si="0"/>
        <v>5541850</v>
      </c>
      <c r="E6" s="33"/>
      <c r="F6" s="33"/>
      <c r="G6" s="34">
        <v>15</v>
      </c>
      <c r="H6" s="32">
        <f>(D6+F6)*G6</f>
        <v>83127750</v>
      </c>
      <c r="I6" s="35">
        <f t="shared" si="2"/>
        <v>14516129.032258064</v>
      </c>
      <c r="J6" s="33">
        <f t="shared" si="3"/>
        <v>2419354.8387096771</v>
      </c>
      <c r="K6" s="33"/>
      <c r="L6" s="33">
        <f t="shared" si="4"/>
        <v>0</v>
      </c>
      <c r="M6" s="33">
        <f t="shared" si="5"/>
        <v>10645161.290322579</v>
      </c>
      <c r="N6" s="33"/>
      <c r="O6" s="33">
        <v>0</v>
      </c>
      <c r="P6" s="31">
        <v>0</v>
      </c>
      <c r="Q6" s="36">
        <f t="shared" si="6"/>
        <v>110708395.16129032</v>
      </c>
      <c r="R6" s="37">
        <f t="shared" si="7"/>
        <v>110708395.16129032</v>
      </c>
      <c r="S6" s="38">
        <f t="shared" si="8"/>
        <v>0</v>
      </c>
      <c r="T6" s="38">
        <f t="shared" si="9"/>
        <v>0</v>
      </c>
      <c r="U6" s="33"/>
      <c r="V6" s="33">
        <f>PRODUCT(((Q6+S6)*7)/100)</f>
        <v>7749587.6612903224</v>
      </c>
      <c r="W6" s="39">
        <f>(R6+S6-T6)-(U6+V6)</f>
        <v>102958807.5</v>
      </c>
      <c r="X6" s="33">
        <f>PRODUCT(((Q6+S6)*3)/100)</f>
        <v>3321251.8548387098</v>
      </c>
      <c r="Y6" s="33">
        <f>PRODUCT(((Q6+S6)*20)/100)</f>
        <v>22141679.032258064</v>
      </c>
    </row>
    <row r="7" spans="1:25" x14ac:dyDescent="0.5">
      <c r="A7" s="7"/>
      <c r="B7" s="8"/>
      <c r="C7" s="8"/>
      <c r="D7" s="8"/>
      <c r="E7" s="8"/>
      <c r="F7" s="8"/>
      <c r="G7" s="7"/>
      <c r="I7" s="14"/>
      <c r="J7" s="8"/>
      <c r="K7" s="8"/>
      <c r="L7" s="8"/>
      <c r="M7" s="8"/>
      <c r="N7" s="8"/>
      <c r="O7" s="8"/>
      <c r="P7" s="7"/>
      <c r="Q7" s="21" t="s">
        <v>11</v>
      </c>
      <c r="R7" s="22" t="s">
        <v>12</v>
      </c>
      <c r="S7" s="23"/>
      <c r="T7" s="23"/>
      <c r="W7" s="24"/>
    </row>
    <row r="8" spans="1:25" x14ac:dyDescent="0.5">
      <c r="A8" s="8"/>
      <c r="W8" s="17"/>
      <c r="Y8" s="16"/>
    </row>
    <row r="9" spans="1:25" x14ac:dyDescent="0.5">
      <c r="E9" s="8"/>
      <c r="P9" s="12"/>
      <c r="Q9" s="11"/>
      <c r="W9" s="17"/>
      <c r="Y9" s="16"/>
    </row>
    <row r="11" spans="1:25" x14ac:dyDescent="0.5">
      <c r="R11" s="10"/>
    </row>
    <row r="15" spans="1:25" x14ac:dyDescent="0.5">
      <c r="Q15" s="9"/>
      <c r="R15" s="10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2026-03-21T12:26:33Z</dcterms:modified>
</cp:coreProperties>
</file>