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69" documentId="13_ncr:1_{C8EBF1CF-DE2E-4A38-996B-29188BCE9BC9}" xr6:coauthVersionLast="47" xr6:coauthVersionMax="47" xr10:uidLastSave="{8AADE70B-0202-439C-9A79-D956B5889CCE}"/>
  <bookViews>
    <workbookView xWindow="0" yWindow="0" windowWidth="18960" windowHeight="109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rfer">Sheet1!$A:$A</definedName>
  </definedNames>
  <calcPr calcId="181029"/>
</workbook>
</file>

<file path=xl/calcChain.xml><?xml version="1.0" encoding="utf-8"?>
<calcChain xmlns="http://schemas.openxmlformats.org/spreadsheetml/2006/main">
  <c r="S2" i="1" l="1"/>
  <c r="S6" i="1"/>
  <c r="S5" i="1"/>
  <c r="S4" i="1"/>
  <c r="S3" i="1"/>
  <c r="R6" i="1"/>
  <c r="R5" i="1"/>
  <c r="R4" i="1"/>
  <c r="R3" i="1"/>
  <c r="R2" i="1"/>
  <c r="F4" i="1"/>
  <c r="F3" i="1"/>
  <c r="F2" i="1"/>
  <c r="D2" i="1"/>
  <c r="D6" i="1"/>
  <c r="D5" i="1"/>
  <c r="D4" i="1"/>
  <c r="D3" i="1"/>
  <c r="M6" i="1" l="1"/>
  <c r="M5" i="1"/>
  <c r="M4" i="1"/>
  <c r="M3" i="1"/>
  <c r="M2" i="1"/>
  <c r="J2" i="1"/>
  <c r="L6" i="1"/>
  <c r="L5" i="1"/>
  <c r="L4" i="1"/>
  <c r="L3" i="1"/>
  <c r="L2" i="1"/>
  <c r="J6" i="1"/>
  <c r="J5" i="1"/>
  <c r="J4" i="1"/>
  <c r="J3" i="1"/>
  <c r="I6" i="1"/>
  <c r="I5" i="1"/>
  <c r="I4" i="1"/>
  <c r="I3" i="1"/>
  <c r="I2" i="1"/>
  <c r="F7" i="1"/>
  <c r="G7" i="1"/>
  <c r="N7" i="1"/>
  <c r="O7" i="1"/>
  <c r="H6" i="1"/>
  <c r="H5" i="1"/>
  <c r="H4" i="1"/>
  <c r="Q4" i="1" s="1"/>
  <c r="H3" i="1"/>
  <c r="P4" i="1" l="1"/>
  <c r="Q3" i="1"/>
  <c r="J7" i="1"/>
  <c r="P5" i="1"/>
  <c r="T4" i="1"/>
  <c r="I7" i="1"/>
  <c r="P6" i="1"/>
  <c r="Q5" i="1"/>
  <c r="P3" i="1"/>
  <c r="Q6" i="1"/>
  <c r="M7" i="1"/>
  <c r="L7" i="1"/>
  <c r="X4" i="1" l="1"/>
  <c r="T3" i="1"/>
  <c r="V4" i="1"/>
  <c r="V6" i="1"/>
  <c r="Y6" i="1"/>
  <c r="X6" i="1"/>
  <c r="Y4" i="1"/>
  <c r="Y3" i="1"/>
  <c r="V3" i="1"/>
  <c r="X3" i="1"/>
  <c r="T5" i="1"/>
  <c r="T6" i="1"/>
  <c r="X5" i="1"/>
  <c r="V5" i="1"/>
  <c r="W5" i="1" s="1"/>
  <c r="Y5" i="1"/>
  <c r="U3" i="1"/>
  <c r="W3" i="1" l="1"/>
  <c r="U6" i="1"/>
  <c r="W6" i="1" s="1"/>
  <c r="U4" i="1"/>
  <c r="W4" i="1" s="1"/>
  <c r="D7" i="1"/>
  <c r="H2" i="1"/>
  <c r="P2" i="1" s="1"/>
  <c r="S7" i="1" l="1"/>
  <c r="R7" i="1"/>
  <c r="P7" i="1"/>
  <c r="H7" i="1"/>
  <c r="Q2" i="1"/>
  <c r="X2" i="1" l="1"/>
  <c r="X7" i="1" s="1"/>
  <c r="Y2" i="1"/>
  <c r="Y7" i="1" s="1"/>
  <c r="V2" i="1"/>
  <c r="V7" i="1" s="1"/>
  <c r="T2" i="1"/>
  <c r="Q7" i="1"/>
  <c r="Y10" i="1" l="1"/>
  <c r="Y9" i="1"/>
  <c r="U2" i="1"/>
  <c r="T7" i="1"/>
  <c r="U7" i="1" l="1"/>
  <c r="W2" i="1"/>
  <c r="W7" i="1" s="1"/>
</calcChain>
</file>

<file path=xl/sharedStrings.xml><?xml version="1.0" encoding="utf-8"?>
<sst xmlns="http://schemas.openxmlformats.org/spreadsheetml/2006/main" count="41" uniqueCount="38">
  <si>
    <t>نام پرسنل</t>
  </si>
  <si>
    <t>دستمزد روزانه</t>
  </si>
  <si>
    <t>روزهای کارکرد</t>
  </si>
  <si>
    <t>جمع حقوق و مزایا</t>
  </si>
  <si>
    <t>مشمول مالیات</t>
  </si>
  <si>
    <t>مالیات</t>
  </si>
  <si>
    <t>بیمه 7% سهم کارگر</t>
  </si>
  <si>
    <t>بیمه 3% بیکاری</t>
  </si>
  <si>
    <t>بیمه 20% سهم کارفرما</t>
  </si>
  <si>
    <t>حقوق پرداختی</t>
  </si>
  <si>
    <t>جمع</t>
  </si>
  <si>
    <t>جمع بیمه سهم کارفرما</t>
  </si>
  <si>
    <t>جمع کل بیمه پرداختی</t>
  </si>
  <si>
    <t>ساعت کسر کار</t>
  </si>
  <si>
    <t>جمع کل مزایای مشمول</t>
  </si>
  <si>
    <t>مشمول</t>
  </si>
  <si>
    <t>مشمول و غیرمشمول</t>
  </si>
  <si>
    <t>پرسنل 1</t>
  </si>
  <si>
    <t>پرسنل 2</t>
  </si>
  <si>
    <t>پرسنل 3</t>
  </si>
  <si>
    <t>پرسنل 4</t>
  </si>
  <si>
    <t>پرسنل 5</t>
  </si>
  <si>
    <t>تعداد اولاد مشمول</t>
  </si>
  <si>
    <t>ساعت اضافه کار</t>
  </si>
  <si>
    <t>مبلغ اضافه کاری</t>
  </si>
  <si>
    <t>حق اولاد (غیر مشمول)</t>
  </si>
  <si>
    <t>کسر کار</t>
  </si>
  <si>
    <t>مزد سنو.ات روزانه</t>
  </si>
  <si>
    <t>تمام وقت</t>
  </si>
  <si>
    <t>پاره وقت</t>
  </si>
  <si>
    <t>نوع قرارداد</t>
  </si>
  <si>
    <t>مزد مبنای ماهیانه</t>
  </si>
  <si>
    <t>مسکن</t>
  </si>
  <si>
    <t>حق تاهل</t>
  </si>
  <si>
    <t>خواربار (مزایای مشمول)</t>
  </si>
  <si>
    <t>محاسبه حقوق و دستمزد مطابق بخشنامه شماره 276716  مورخ 1402/12/29 موضوع تعیین حداقل مزد 1403 ماده 41 قانون کار</t>
  </si>
  <si>
    <t>دستمزد روزانه سال قبل</t>
  </si>
  <si>
    <t>مزد سنوات سال قبل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</si>
</sst>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1"/>
      <color rgb="FFFA7D00"/>
      <name val="Arial"/>
      <family val="2"/>
      <charset val="178"/>
      <scheme val="minor"/>
    </font>
    <font>
      <sz val="11"/>
      <color theme="1"/>
      <name val="B Nazanin"/>
      <charset val="178"/>
    </font>
    <font>
      <sz val="11"/>
      <name val="B Nazanin"/>
      <charset val="178"/>
    </font>
    <font>
      <b/>
      <sz val="11"/>
      <color theme="1"/>
      <name val="B Nazanin"/>
      <charset val="178"/>
    </font>
    <font>
      <b/>
      <sz val="11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4" fillId="5" borderId="2" applyNumberFormat="0" applyFont="0" applyAlignment="0" applyProtection="0"/>
    <xf numFmtId="0" fontId="5" fillId="6" borderId="1" applyNumberFormat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right" readingOrder="2"/>
    </xf>
    <xf numFmtId="164" fontId="6" fillId="0" borderId="0" xfId="0" applyNumberFormat="1" applyFont="1" applyAlignment="1">
      <alignment horizontal="right" readingOrder="2"/>
    </xf>
    <xf numFmtId="0" fontId="6" fillId="5" borderId="2" xfId="4" applyFont="1" applyAlignment="1">
      <alignment horizontal="right" readingOrder="2"/>
    </xf>
    <xf numFmtId="164" fontId="6" fillId="2" borderId="2" xfId="1" applyNumberFormat="1" applyFont="1" applyBorder="1" applyAlignment="1">
      <alignment horizontal="right" readingOrder="2"/>
    </xf>
    <xf numFmtId="164" fontId="7" fillId="3" borderId="2" xfId="2" applyNumberFormat="1" applyFont="1" applyBorder="1" applyAlignment="1">
      <alignment horizontal="right" readingOrder="2"/>
    </xf>
    <xf numFmtId="0" fontId="6" fillId="0" borderId="0" xfId="0" applyFont="1" applyAlignment="1">
      <alignment horizontal="left"/>
    </xf>
    <xf numFmtId="164" fontId="6" fillId="5" borderId="2" xfId="4" applyNumberFormat="1" applyFont="1" applyAlignment="1">
      <alignment horizontal="right" readingOrder="2"/>
    </xf>
    <xf numFmtId="0" fontId="6" fillId="0" borderId="0" xfId="0" applyFont="1" applyAlignment="1">
      <alignment horizontal="left" readingOrder="1"/>
    </xf>
    <xf numFmtId="0" fontId="8" fillId="0" borderId="0" xfId="0" applyFont="1" applyAlignment="1">
      <alignment horizontal="right" readingOrder="2"/>
    </xf>
    <xf numFmtId="164" fontId="8" fillId="0" borderId="0" xfId="0" applyNumberFormat="1" applyFont="1" applyAlignment="1">
      <alignment horizontal="right" readingOrder="2"/>
    </xf>
    <xf numFmtId="0" fontId="8" fillId="5" borderId="2" xfId="4" applyFont="1" applyAlignment="1">
      <alignment horizontal="right" readingOrder="2"/>
    </xf>
    <xf numFmtId="164" fontId="8" fillId="2" borderId="2" xfId="1" applyNumberFormat="1" applyFont="1" applyBorder="1" applyAlignment="1">
      <alignment horizontal="right" readingOrder="2"/>
    </xf>
    <xf numFmtId="3" fontId="8" fillId="5" borderId="2" xfId="4" applyNumberFormat="1" applyFont="1" applyAlignment="1">
      <alignment horizontal="right" readingOrder="2"/>
    </xf>
    <xf numFmtId="0" fontId="6" fillId="0" borderId="0" xfId="0" applyFont="1" applyAlignment="1">
      <alignment horizontal="center" readingOrder="2"/>
    </xf>
    <xf numFmtId="164" fontId="9" fillId="6" borderId="1" xfId="5" applyNumberFormat="1" applyFont="1" applyAlignment="1">
      <alignment horizontal="right" readingOrder="2"/>
    </xf>
    <xf numFmtId="164" fontId="8" fillId="7" borderId="0" xfId="0" applyNumberFormat="1" applyFont="1" applyFill="1" applyAlignment="1">
      <alignment horizontal="right" readingOrder="2"/>
    </xf>
    <xf numFmtId="164" fontId="8" fillId="7" borderId="2" xfId="4" applyNumberFormat="1" applyFont="1" applyFill="1" applyAlignment="1">
      <alignment horizontal="right" readingOrder="2"/>
    </xf>
    <xf numFmtId="164" fontId="8" fillId="7" borderId="2" xfId="1" applyNumberFormat="1" applyFont="1" applyFill="1" applyBorder="1" applyAlignment="1">
      <alignment horizontal="right" readingOrder="2"/>
    </xf>
    <xf numFmtId="164" fontId="9" fillId="7" borderId="2" xfId="2" applyNumberFormat="1" applyFont="1" applyFill="1" applyBorder="1" applyAlignment="1">
      <alignment horizontal="right" readingOrder="2"/>
    </xf>
    <xf numFmtId="164" fontId="9" fillId="3" borderId="2" xfId="2" applyNumberFormat="1" applyFont="1" applyBorder="1" applyAlignment="1">
      <alignment horizontal="right" readingOrder="2"/>
    </xf>
    <xf numFmtId="164" fontId="7" fillId="6" borderId="1" xfId="5" applyNumberFormat="1" applyFont="1" applyAlignment="1">
      <alignment horizontal="right" readingOrder="2"/>
    </xf>
    <xf numFmtId="3" fontId="8" fillId="0" borderId="0" xfId="0" applyNumberFormat="1" applyFont="1" applyAlignment="1">
      <alignment horizontal="right" readingOrder="2"/>
    </xf>
    <xf numFmtId="3" fontId="6" fillId="0" borderId="0" xfId="0" applyNumberFormat="1" applyFont="1" applyAlignment="1">
      <alignment horizontal="right" readingOrder="2"/>
    </xf>
    <xf numFmtId="164" fontId="6" fillId="7" borderId="0" xfId="0" applyNumberFormat="1" applyFont="1" applyFill="1" applyAlignment="1">
      <alignment horizontal="right" readingOrder="2"/>
    </xf>
    <xf numFmtId="164" fontId="9" fillId="4" borderId="1" xfId="3" applyNumberFormat="1" applyFont="1" applyAlignment="1">
      <alignment horizontal="right" readingOrder="2"/>
    </xf>
    <xf numFmtId="0" fontId="6" fillId="7" borderId="0" xfId="0" applyFont="1" applyFill="1" applyAlignment="1">
      <alignment horizontal="right" readingOrder="2"/>
    </xf>
    <xf numFmtId="3" fontId="6" fillId="7" borderId="0" xfId="0" applyNumberFormat="1" applyFont="1" applyFill="1" applyAlignment="1">
      <alignment horizontal="right" readingOrder="2"/>
    </xf>
    <xf numFmtId="164" fontId="7" fillId="7" borderId="1" xfId="5" applyNumberFormat="1" applyFont="1" applyFill="1" applyAlignment="1">
      <alignment horizontal="right" readingOrder="2"/>
    </xf>
    <xf numFmtId="0" fontId="6" fillId="7" borderId="0" xfId="0" applyFont="1" applyFill="1" applyAlignment="1">
      <alignment horizontal="left"/>
    </xf>
  </cellXfs>
  <cellStyles count="6">
    <cellStyle name="20% - Accent5" xfId="1" builtinId="46"/>
    <cellStyle name="Calculation" xfId="5" builtinId="22"/>
    <cellStyle name="Good" xfId="2" builtinId="26"/>
    <cellStyle name="Input" xfId="3" builtinId="20"/>
    <cellStyle name="Normal" xfId="0" builtinId="0"/>
    <cellStyle name="Note" xfId="4" builtinId="10"/>
  </cellStyles>
  <dxfs count="0"/>
  <tableStyles count="0" defaultTableStyle="TableStyleMedium9" defaultPivotStyle="PivotStyleLight16"/>
  <colors>
    <mruColors>
      <color rgb="FFE3F3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"/>
  <sheetViews>
    <sheetView rightToLeft="1" tabSelected="1" workbookViewId="0">
      <selection activeCell="A9" sqref="A9"/>
    </sheetView>
  </sheetViews>
  <sheetFormatPr defaultColWidth="9" defaultRowHeight="19.5" x14ac:dyDescent="0.5"/>
  <cols>
    <col min="1" max="1" width="12.125" style="1" customWidth="1"/>
    <col min="2" max="2" width="7.75" style="2" customWidth="1"/>
    <col min="3" max="3" width="14.625" style="2" customWidth="1"/>
    <col min="4" max="4" width="13.25" style="2" customWidth="1"/>
    <col min="5" max="5" width="11.75" style="2" customWidth="1"/>
    <col min="6" max="6" width="9.25" style="2" customWidth="1"/>
    <col min="7" max="7" width="10.625" style="1" customWidth="1"/>
    <col min="8" max="8" width="13.625" style="10" customWidth="1"/>
    <col min="9" max="9" width="10.375" style="23" customWidth="1"/>
    <col min="10" max="10" width="8.75" style="2" customWidth="1"/>
    <col min="11" max="11" width="11.75" style="2" customWidth="1"/>
    <col min="12" max="12" width="14.125" style="2" customWidth="1"/>
    <col min="13" max="13" width="15.375" style="2" customWidth="1"/>
    <col min="14" max="14" width="10.375" style="2" customWidth="1"/>
    <col min="15" max="15" width="10.25" style="1" customWidth="1"/>
    <col min="16" max="16" width="16.375" style="3" customWidth="1"/>
    <col min="17" max="17" width="14" style="4" customWidth="1"/>
    <col min="18" max="18" width="11.75" style="15" customWidth="1"/>
    <col min="19" max="19" width="10.25" style="15" customWidth="1"/>
    <col min="20" max="20" width="10.625" style="2" customWidth="1"/>
    <col min="21" max="21" width="8.875" style="2" customWidth="1"/>
    <col min="22" max="22" width="13.375" style="2" customWidth="1"/>
    <col min="23" max="23" width="13.75" style="5" customWidth="1"/>
    <col min="24" max="24" width="10" style="2" customWidth="1"/>
    <col min="25" max="25" width="16.875" style="2" customWidth="1"/>
    <col min="26" max="16384" width="9" style="6"/>
  </cols>
  <sheetData>
    <row r="1" spans="1:25" x14ac:dyDescent="0.5">
      <c r="A1" s="1" t="s">
        <v>0</v>
      </c>
      <c r="B1" s="2" t="s">
        <v>30</v>
      </c>
      <c r="C1" s="2" t="s">
        <v>36</v>
      </c>
      <c r="D1" s="2" t="s">
        <v>1</v>
      </c>
      <c r="E1" s="2" t="s">
        <v>37</v>
      </c>
      <c r="F1" s="2" t="s">
        <v>27</v>
      </c>
      <c r="G1" s="1" t="s">
        <v>2</v>
      </c>
      <c r="H1" s="10" t="s">
        <v>31</v>
      </c>
      <c r="I1" s="23" t="s">
        <v>32</v>
      </c>
      <c r="J1" s="2" t="s">
        <v>33</v>
      </c>
      <c r="K1" s="2" t="s">
        <v>22</v>
      </c>
      <c r="L1" s="2" t="s">
        <v>25</v>
      </c>
      <c r="M1" s="2" t="s">
        <v>34</v>
      </c>
      <c r="N1" s="2" t="s">
        <v>23</v>
      </c>
      <c r="O1" s="1" t="s">
        <v>13</v>
      </c>
      <c r="P1" s="3" t="s">
        <v>14</v>
      </c>
      <c r="Q1" s="4" t="s">
        <v>3</v>
      </c>
      <c r="R1" s="21" t="s">
        <v>24</v>
      </c>
      <c r="S1" s="21" t="s">
        <v>26</v>
      </c>
      <c r="T1" s="2" t="s">
        <v>4</v>
      </c>
      <c r="U1" s="2" t="s">
        <v>5</v>
      </c>
      <c r="V1" s="2" t="s">
        <v>6</v>
      </c>
      <c r="W1" s="5" t="s">
        <v>9</v>
      </c>
      <c r="X1" s="2" t="s">
        <v>7</v>
      </c>
      <c r="Y1" s="2" t="s">
        <v>8</v>
      </c>
    </row>
    <row r="2" spans="1:25" s="8" customFormat="1" x14ac:dyDescent="0.5">
      <c r="A2" s="1" t="s">
        <v>17</v>
      </c>
      <c r="B2" s="2" t="s">
        <v>28</v>
      </c>
      <c r="C2" s="2">
        <v>1977212</v>
      </c>
      <c r="D2" s="2">
        <f>IF( (C2&lt;&gt;0), ((C2*1.22)+230026), (2388728) )</f>
        <v>2642224.64</v>
      </c>
      <c r="E2" s="2">
        <v>257175</v>
      </c>
      <c r="F2" s="2">
        <f>IF( (E2&lt;&gt;0), ((E2*1.22)+70000), (70000) )</f>
        <v>383753.5</v>
      </c>
      <c r="G2" s="1">
        <v>31</v>
      </c>
      <c r="H2" s="10">
        <f>(D2+F2)*G2</f>
        <v>93805322.340000004</v>
      </c>
      <c r="I2" s="23">
        <f>(9000000 / 31)*G2</f>
        <v>9000000</v>
      </c>
      <c r="J2" s="2">
        <f xml:space="preserve"> (5000000 / 31 )*G2</f>
        <v>5000000</v>
      </c>
      <c r="K2" s="2">
        <v>2</v>
      </c>
      <c r="L2" s="2">
        <f xml:space="preserve"> ((K2*7166184) / 31 )*G2</f>
        <v>14332368</v>
      </c>
      <c r="M2" s="2">
        <f xml:space="preserve"> (14000000 / 31 )*G2</f>
        <v>14000000</v>
      </c>
      <c r="N2" s="2">
        <v>20</v>
      </c>
      <c r="O2" s="1">
        <v>2</v>
      </c>
      <c r="P2" s="7">
        <f>H2+I2+J2+M2</f>
        <v>121805322.34</v>
      </c>
      <c r="Q2" s="4">
        <f>H2+I2+J2+M2+L2</f>
        <v>136137690.34</v>
      </c>
      <c r="R2" s="21">
        <f>((P2/220)*1.4)*N2</f>
        <v>15502495.570545454</v>
      </c>
      <c r="S2" s="21">
        <f>(O2 / 7.33)*(Q2/G2)</f>
        <v>1198236.9435373852</v>
      </c>
      <c r="T2" s="2">
        <f>IF((Q2+R2)&gt;120000000,(Q2+R2)-120000000,0)</f>
        <v>31640185.910545468</v>
      </c>
      <c r="U2" s="2">
        <f>PRODUCT((T2*10)/100)</f>
        <v>3164018.5910545466</v>
      </c>
      <c r="V2" s="2">
        <f>PRODUCT(((P2+R2)*7)/100)</f>
        <v>9611547.2537381835</v>
      </c>
      <c r="W2" s="20">
        <f>(Q2+R2-S2)-(U2+V2)</f>
        <v>137666383.12221536</v>
      </c>
      <c r="X2" s="2">
        <f>PRODUCT(((P2+R2)*3)/100)</f>
        <v>4119234.5373163642</v>
      </c>
      <c r="Y2" s="2">
        <f>PRODUCT(((P2+R2)*20)/100)</f>
        <v>27461563.582109094</v>
      </c>
    </row>
    <row r="3" spans="1:25" x14ac:dyDescent="0.5">
      <c r="A3" s="1" t="s">
        <v>18</v>
      </c>
      <c r="B3" s="2" t="s">
        <v>28</v>
      </c>
      <c r="C3" s="2">
        <v>1769428</v>
      </c>
      <c r="D3" s="2">
        <f t="shared" ref="D3:D6" si="0">IF( (C3&lt;&gt;0), ((C3*1.22)+230026), (2388728) )</f>
        <v>2388728.16</v>
      </c>
      <c r="E3" s="2">
        <v>70000</v>
      </c>
      <c r="F3" s="2">
        <f t="shared" ref="F3:F4" si="1">IF( (E3&lt;&gt;0), ((E3*1.22)+70000), (70000) )</f>
        <v>155400</v>
      </c>
      <c r="G3" s="1">
        <v>31</v>
      </c>
      <c r="H3" s="10">
        <f>(D3+F3)*G3</f>
        <v>78867972.960000008</v>
      </c>
      <c r="I3" s="23">
        <f t="shared" ref="I3:I6" si="2">(9000000 / 31)*G3</f>
        <v>9000000</v>
      </c>
      <c r="J3" s="2">
        <f t="shared" ref="J3:J6" si="3" xml:space="preserve"> (5000000 / 31 )*G3</f>
        <v>5000000</v>
      </c>
      <c r="K3" s="2">
        <v>1</v>
      </c>
      <c r="L3" s="2">
        <f t="shared" ref="L3:L6" si="4" xml:space="preserve"> ((K3*7166184) / 31 )*G3</f>
        <v>7166184</v>
      </c>
      <c r="M3" s="2">
        <f t="shared" ref="M3:M6" si="5" xml:space="preserve"> (14000000 / 31 )*G3</f>
        <v>14000000</v>
      </c>
      <c r="P3" s="7">
        <f t="shared" ref="P3:P6" si="6">H3+I3+J3+M3</f>
        <v>106867972.96000001</v>
      </c>
      <c r="Q3" s="4">
        <f t="shared" ref="Q3:Q6" si="7">H3+I3+J3+M3+L3</f>
        <v>114034156.96000001</v>
      </c>
      <c r="R3" s="21">
        <f t="shared" ref="R3:R6" si="8">((P3/220)*1.4)*N3</f>
        <v>0</v>
      </c>
      <c r="S3" s="21">
        <f t="shared" ref="S3:S6" si="9">(O3 / 7.33)*(Q3/G3)</f>
        <v>0</v>
      </c>
      <c r="T3" s="2">
        <f t="shared" ref="T3:T6" si="10">IF((Q3+R3)&gt;120000000,(Q3+R3)-120000000,0)</f>
        <v>0</v>
      </c>
      <c r="U3" s="2">
        <f>PRODUCT((T3*10)/100)</f>
        <v>0</v>
      </c>
      <c r="V3" s="2">
        <f t="shared" ref="V3:V6" si="11">PRODUCT(((P3+R3)*7)/100)</f>
        <v>7480758.1072000004</v>
      </c>
      <c r="W3" s="20">
        <f>(Q3+R3-S3)-(U3+V3)</f>
        <v>106553398.85280001</v>
      </c>
      <c r="X3" s="2">
        <f t="shared" ref="X3:X6" si="12">PRODUCT(((P3+R3)*3)/100)</f>
        <v>3206039.1888000001</v>
      </c>
      <c r="Y3" s="2">
        <f t="shared" ref="Y3:Y6" si="13">PRODUCT(((P3+R3)*20)/100)</f>
        <v>21373594.592000004</v>
      </c>
    </row>
    <row r="4" spans="1:25" x14ac:dyDescent="0.5">
      <c r="A4" s="1" t="s">
        <v>19</v>
      </c>
      <c r="B4" s="2" t="s">
        <v>28</v>
      </c>
      <c r="C4" s="2">
        <v>1769428</v>
      </c>
      <c r="D4" s="2">
        <f t="shared" si="0"/>
        <v>2388728.16</v>
      </c>
      <c r="F4" s="2">
        <f t="shared" si="1"/>
        <v>70000</v>
      </c>
      <c r="G4" s="1">
        <v>31</v>
      </c>
      <c r="H4" s="10">
        <f>(D4+F4)*G4</f>
        <v>76220572.960000008</v>
      </c>
      <c r="I4" s="23">
        <f t="shared" si="2"/>
        <v>9000000</v>
      </c>
      <c r="J4" s="2">
        <f t="shared" si="3"/>
        <v>5000000</v>
      </c>
      <c r="L4" s="2">
        <f t="shared" si="4"/>
        <v>0</v>
      </c>
      <c r="M4" s="2">
        <f t="shared" si="5"/>
        <v>14000000</v>
      </c>
      <c r="O4" s="1">
        <v>0</v>
      </c>
      <c r="P4" s="7">
        <f t="shared" si="6"/>
        <v>104220572.96000001</v>
      </c>
      <c r="Q4" s="4">
        <f t="shared" si="7"/>
        <v>104220572.96000001</v>
      </c>
      <c r="R4" s="21">
        <f t="shared" si="8"/>
        <v>0</v>
      </c>
      <c r="S4" s="21">
        <f t="shared" si="9"/>
        <v>0</v>
      </c>
      <c r="T4" s="2">
        <f t="shared" si="10"/>
        <v>0</v>
      </c>
      <c r="U4" s="2">
        <f>PRODUCT((T4*10)/100)</f>
        <v>0</v>
      </c>
      <c r="V4" s="2">
        <f t="shared" si="11"/>
        <v>7295440.1072000004</v>
      </c>
      <c r="W4" s="20">
        <f>(Q4+R4-S4)-(U4+V4)</f>
        <v>96925132.852800012</v>
      </c>
      <c r="X4" s="2">
        <f t="shared" si="12"/>
        <v>3126617.1888000001</v>
      </c>
      <c r="Y4" s="2">
        <f t="shared" si="13"/>
        <v>20844114.592000004</v>
      </c>
    </row>
    <row r="5" spans="1:25" x14ac:dyDescent="0.5">
      <c r="A5" s="1" t="s">
        <v>20</v>
      </c>
      <c r="B5" s="2" t="s">
        <v>29</v>
      </c>
      <c r="C5" s="2">
        <v>0</v>
      </c>
      <c r="D5" s="2">
        <f t="shared" si="0"/>
        <v>2388728</v>
      </c>
      <c r="F5" s="2">
        <v>0</v>
      </c>
      <c r="G5" s="1">
        <v>20</v>
      </c>
      <c r="H5" s="10">
        <f>(D5+F5)*G5</f>
        <v>47774560</v>
      </c>
      <c r="I5" s="23">
        <f t="shared" si="2"/>
        <v>5806451.6129032252</v>
      </c>
      <c r="J5" s="2">
        <f t="shared" si="3"/>
        <v>3225806.4516129028</v>
      </c>
      <c r="L5" s="2">
        <f t="shared" si="4"/>
        <v>0</v>
      </c>
      <c r="M5" s="2">
        <f t="shared" si="5"/>
        <v>9032258.064516129</v>
      </c>
      <c r="P5" s="7">
        <f t="shared" si="6"/>
        <v>65839076.129032254</v>
      </c>
      <c r="Q5" s="4">
        <f t="shared" si="7"/>
        <v>65839076.129032254</v>
      </c>
      <c r="R5" s="21">
        <f t="shared" si="8"/>
        <v>0</v>
      </c>
      <c r="S5" s="21">
        <f t="shared" si="9"/>
        <v>0</v>
      </c>
      <c r="T5" s="2">
        <f t="shared" si="10"/>
        <v>0</v>
      </c>
      <c r="V5" s="2">
        <f t="shared" si="11"/>
        <v>4608735.3290322581</v>
      </c>
      <c r="W5" s="20">
        <f>(Q5+R5-S5)-(U5+V5)</f>
        <v>61230340.799999997</v>
      </c>
      <c r="X5" s="2">
        <f t="shared" si="12"/>
        <v>1975172.2838709676</v>
      </c>
      <c r="Y5" s="2">
        <f t="shared" si="13"/>
        <v>13167815.22580645</v>
      </c>
    </row>
    <row r="6" spans="1:25" x14ac:dyDescent="0.5">
      <c r="A6" s="1" t="s">
        <v>21</v>
      </c>
      <c r="B6" s="2" t="s">
        <v>29</v>
      </c>
      <c r="C6" s="2">
        <v>0</v>
      </c>
      <c r="D6" s="2">
        <f t="shared" si="0"/>
        <v>2388728</v>
      </c>
      <c r="F6" s="2">
        <v>0</v>
      </c>
      <c r="G6" s="1">
        <v>15</v>
      </c>
      <c r="H6" s="10">
        <f>(D6+F6)*G6</f>
        <v>35830920</v>
      </c>
      <c r="I6" s="23">
        <f t="shared" si="2"/>
        <v>4354838.7096774187</v>
      </c>
      <c r="J6" s="2">
        <f t="shared" si="3"/>
        <v>2419354.8387096771</v>
      </c>
      <c r="L6" s="2">
        <f t="shared" si="4"/>
        <v>0</v>
      </c>
      <c r="M6" s="2">
        <f t="shared" si="5"/>
        <v>6774193.5483870963</v>
      </c>
      <c r="N6" s="2">
        <v>0</v>
      </c>
      <c r="O6" s="1">
        <v>0</v>
      </c>
      <c r="P6" s="7">
        <f t="shared" si="6"/>
        <v>49379307.096774191</v>
      </c>
      <c r="Q6" s="4">
        <f t="shared" si="7"/>
        <v>49379307.096774191</v>
      </c>
      <c r="R6" s="21">
        <f t="shared" si="8"/>
        <v>0</v>
      </c>
      <c r="S6" s="21">
        <f t="shared" si="9"/>
        <v>0</v>
      </c>
      <c r="T6" s="2">
        <f t="shared" si="10"/>
        <v>0</v>
      </c>
      <c r="U6" s="2">
        <f>PRODUCT((T6*10)/100)</f>
        <v>0</v>
      </c>
      <c r="V6" s="2">
        <f t="shared" si="11"/>
        <v>3456551.4967741929</v>
      </c>
      <c r="W6" s="20">
        <f>(Q6+R6-S6)-(U6+V6)</f>
        <v>45922755.599999994</v>
      </c>
      <c r="X6" s="2">
        <f t="shared" si="12"/>
        <v>1481379.2129032258</v>
      </c>
      <c r="Y6" s="2">
        <f t="shared" si="13"/>
        <v>9875861.4193548374</v>
      </c>
    </row>
    <row r="7" spans="1:25" s="29" customFormat="1" x14ac:dyDescent="0.5">
      <c r="A7" s="26" t="s">
        <v>10</v>
      </c>
      <c r="B7" s="24"/>
      <c r="C7" s="24"/>
      <c r="D7" s="24">
        <f t="shared" ref="D7:J7" si="14">SUM(D2:D6)</f>
        <v>12197136.960000001</v>
      </c>
      <c r="E7" s="24"/>
      <c r="F7" s="24">
        <f t="shared" si="14"/>
        <v>609153.5</v>
      </c>
      <c r="G7" s="26">
        <f t="shared" si="14"/>
        <v>128</v>
      </c>
      <c r="H7" s="16">
        <f t="shared" si="14"/>
        <v>332499348.25999999</v>
      </c>
      <c r="I7" s="27">
        <f t="shared" si="14"/>
        <v>37161290.322580643</v>
      </c>
      <c r="J7" s="24">
        <f t="shared" si="14"/>
        <v>20645161.290322583</v>
      </c>
      <c r="K7" s="24"/>
      <c r="L7" s="24">
        <f t="shared" ref="L7:Y7" si="15">SUM(L2:L6)</f>
        <v>21498552</v>
      </c>
      <c r="M7" s="24">
        <f>SUM(M2:M6)</f>
        <v>57806451.612903222</v>
      </c>
      <c r="N7" s="24">
        <f t="shared" si="15"/>
        <v>20</v>
      </c>
      <c r="O7" s="26">
        <f t="shared" si="15"/>
        <v>2</v>
      </c>
      <c r="P7" s="17">
        <f t="shared" si="15"/>
        <v>448112251.48580647</v>
      </c>
      <c r="Q7" s="18">
        <f t="shared" si="15"/>
        <v>469610803.48580647</v>
      </c>
      <c r="R7" s="28">
        <f t="shared" si="15"/>
        <v>15502495.570545454</v>
      </c>
      <c r="S7" s="28">
        <f t="shared" si="15"/>
        <v>1198236.9435373852</v>
      </c>
      <c r="T7" s="24">
        <f t="shared" si="15"/>
        <v>31640185.910545468</v>
      </c>
      <c r="U7" s="24">
        <f t="shared" si="15"/>
        <v>3164018.5910545466</v>
      </c>
      <c r="V7" s="24">
        <f t="shared" si="15"/>
        <v>32453032.293944634</v>
      </c>
      <c r="W7" s="19">
        <f t="shared" si="15"/>
        <v>448298011.22781539</v>
      </c>
      <c r="X7" s="24">
        <f t="shared" si="15"/>
        <v>13908442.411690557</v>
      </c>
      <c r="Y7" s="24">
        <f t="shared" si="15"/>
        <v>92722949.411270395</v>
      </c>
    </row>
    <row r="8" spans="1:25" x14ac:dyDescent="0.5">
      <c r="A8" s="9"/>
      <c r="B8" s="10"/>
      <c r="C8" s="10"/>
      <c r="D8" s="10"/>
      <c r="E8" s="10"/>
      <c r="F8" s="10"/>
      <c r="G8" s="9"/>
      <c r="I8" s="22"/>
      <c r="J8" s="10"/>
      <c r="K8" s="10"/>
      <c r="L8" s="10"/>
      <c r="M8" s="10"/>
      <c r="N8" s="10"/>
      <c r="O8" s="9"/>
      <c r="P8" s="11" t="s">
        <v>15</v>
      </c>
      <c r="Q8" s="12" t="s">
        <v>16</v>
      </c>
    </row>
    <row r="9" spans="1:25" x14ac:dyDescent="0.5">
      <c r="A9" s="10" t="s">
        <v>35</v>
      </c>
      <c r="W9" s="25" t="s">
        <v>11</v>
      </c>
      <c r="Y9" s="25">
        <f>X7+Y7</f>
        <v>106631391.82296096</v>
      </c>
    </row>
    <row r="10" spans="1:25" x14ac:dyDescent="0.5">
      <c r="E10" s="10"/>
      <c r="O10" s="14"/>
      <c r="P10" s="13"/>
      <c r="W10" s="25" t="s">
        <v>12</v>
      </c>
      <c r="Y10" s="25">
        <f>V7+X7+Y7</f>
        <v>139084424.11690557</v>
      </c>
    </row>
    <row r="12" spans="1:25" x14ac:dyDescent="0.5">
      <c r="Q12" s="12"/>
    </row>
    <row r="16" spans="1:25" x14ac:dyDescent="0.5">
      <c r="P16" s="11"/>
      <c r="Q16" s="12"/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rfer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2024-03-29T19:27:31Z</dcterms:modified>
</cp:coreProperties>
</file>